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Budgets" sheetId="1" r:id="rId1"/>
    <sheet name="Assump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M22" i="1"/>
  <c r="I13" i="1"/>
  <c r="I12" i="1"/>
  <c r="I14" i="1"/>
  <c r="I15" i="1"/>
  <c r="E13" i="1"/>
  <c r="E14" i="1"/>
  <c r="E15" i="1"/>
  <c r="H24" i="1"/>
  <c r="H13" i="1"/>
  <c r="D24" i="1"/>
  <c r="D13" i="1"/>
  <c r="F22" i="1"/>
  <c r="F24" i="1"/>
  <c r="F25" i="1"/>
  <c r="F15" i="1"/>
  <c r="F12" i="1"/>
  <c r="F16" i="1"/>
  <c r="F13" i="1"/>
  <c r="F14" i="1"/>
  <c r="F18" i="1"/>
  <c r="F27" i="1"/>
  <c r="E18" i="1"/>
  <c r="E25" i="1"/>
  <c r="E27" i="1"/>
  <c r="D25" i="1"/>
  <c r="D18" i="1"/>
  <c r="D27" i="1"/>
  <c r="Q24" i="1"/>
  <c r="M24" i="1"/>
  <c r="Q22" i="1"/>
  <c r="Q25" i="1"/>
  <c r="J15" i="1"/>
  <c r="M15" i="1"/>
  <c r="Q15" i="1"/>
  <c r="J12" i="1"/>
  <c r="M12" i="1"/>
  <c r="Q12" i="1"/>
  <c r="J16" i="1"/>
  <c r="M16" i="1"/>
  <c r="Q16" i="1"/>
  <c r="J13" i="1"/>
  <c r="M13" i="1"/>
  <c r="Q13" i="1"/>
  <c r="J14" i="1"/>
  <c r="M14" i="1"/>
  <c r="Q14" i="1"/>
  <c r="Q18" i="1"/>
  <c r="Q27" i="1"/>
  <c r="M25" i="1"/>
  <c r="M18" i="1"/>
  <c r="M27" i="1"/>
  <c r="O15" i="1"/>
  <c r="I25" i="1"/>
  <c r="H25" i="1"/>
  <c r="I29" i="1"/>
  <c r="O18" i="1"/>
  <c r="Q10" i="1"/>
  <c r="J24" i="1"/>
  <c r="J23" i="1"/>
  <c r="J22" i="1"/>
  <c r="L12" i="1"/>
  <c r="J11" i="1"/>
  <c r="J10" i="1"/>
  <c r="F23" i="1"/>
  <c r="F29" i="1"/>
  <c r="F10" i="1"/>
  <c r="F11" i="1"/>
  <c r="E30" i="1"/>
  <c r="J29" i="1"/>
  <c r="M29" i="1"/>
  <c r="Q29" i="1"/>
  <c r="D30" i="1"/>
  <c r="I18" i="1"/>
  <c r="J25" i="1"/>
  <c r="F30" i="1"/>
  <c r="I27" i="1"/>
  <c r="I30" i="1"/>
  <c r="H18" i="1"/>
  <c r="H27" i="1"/>
  <c r="J18" i="1"/>
  <c r="M30" i="1"/>
  <c r="Q30" i="1"/>
  <c r="H30" i="1"/>
  <c r="J27" i="1"/>
  <c r="J30" i="1"/>
</calcChain>
</file>

<file path=xl/sharedStrings.xml><?xml version="1.0" encoding="utf-8"?>
<sst xmlns="http://schemas.openxmlformats.org/spreadsheetml/2006/main" count="48" uniqueCount="42">
  <si>
    <t>Wolverhampton and Birmingham District Combination</t>
  </si>
  <si>
    <t>District Expense Fund Budgets year ended 31 August 2024 through to 31 August 2027</t>
  </si>
  <si>
    <t>Adjustments</t>
  </si>
  <si>
    <t>Wolves</t>
  </si>
  <si>
    <t>Birmingham</t>
  </si>
  <si>
    <t>Total</t>
  </si>
  <si>
    <t>Merged</t>
  </si>
  <si>
    <t>District Secretary</t>
  </si>
  <si>
    <t>Safeguarding Costs</t>
  </si>
  <si>
    <t>District Office Costs</t>
  </si>
  <si>
    <t>Other District Expenses</t>
  </si>
  <si>
    <t>Administration and finance Staff Costs</t>
  </si>
  <si>
    <t>District Manse and Chairs expenses</t>
  </si>
  <si>
    <t>Contribution from District Reserves</t>
  </si>
  <si>
    <t>Methodist Church Fund</t>
  </si>
  <si>
    <t>Total Circuit Assessments</t>
  </si>
  <si>
    <t>District Budget Assumptions</t>
  </si>
  <si>
    <t>Merger occurs 1 September 2025</t>
  </si>
  <si>
    <t>Safeguarding costs in Wolverhampton Circuit are met from DAF from 1 September 2024</t>
  </si>
  <si>
    <t>Wage inflation runs at 7% to 31 August 2026 and 5 % thereafter</t>
  </si>
  <si>
    <t>General inflation runs at 3%</t>
  </si>
  <si>
    <t>Two manses will be required until 31 August 2026</t>
  </si>
  <si>
    <t>Finance Administrator budget increases from 1 September 2025 with salary inflation of 5%.</t>
  </si>
  <si>
    <t>8. There will need to be an audit of both Districts in 2026 as part of winding down the Charities</t>
  </si>
  <si>
    <t>The Birmingham District transfer  to manses fund finshes on 31 August 2024 and is replaced by a budget of £3000 Pa for maintenance.</t>
  </si>
  <si>
    <t>2023-4</t>
  </si>
  <si>
    <t>2024-5</t>
  </si>
  <si>
    <t>2025-6</t>
  </si>
  <si>
    <t>2026-7</t>
  </si>
  <si>
    <t>Outline Budget</t>
  </si>
  <si>
    <t>Audit and Other Professional Costs</t>
  </si>
  <si>
    <t>Expenditure</t>
  </si>
  <si>
    <t>Circuits contribution to District Fund</t>
  </si>
  <si>
    <t>Funded by</t>
  </si>
  <si>
    <t>Interest</t>
  </si>
  <si>
    <t>Total Income</t>
  </si>
  <si>
    <t>plus</t>
  </si>
  <si>
    <t>District Secretary is appointed from 1 September 2025 and is funded from DAF/connexional grant</t>
  </si>
  <si>
    <t>District Advance Fund/Connexional grant</t>
  </si>
  <si>
    <t>The finance post is funded from DAF throughout.</t>
  </si>
  <si>
    <t>Audit and other professional costs includes property consultant costs for Wolverhampton and Shrewsbury</t>
  </si>
  <si>
    <t>Methodist Church fund contributions are those indicated  for  2024/25 and thereafter  assume a  5% pa 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</si>
</sst>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5" fontId="2" fillId="0" borderId="0" xfId="0" applyNumberFormat="1" applyFont="1"/>
    <xf numFmtId="3" fontId="0" fillId="0" borderId="0" xfId="0" applyNumberFormat="1"/>
    <xf numFmtId="41" fontId="0" fillId="0" borderId="0" xfId="1" applyFont="1"/>
    <xf numFmtId="41" fontId="0" fillId="0" borderId="0" xfId="1" applyFont="1" applyAlignment="1">
      <alignment horizontal="right"/>
    </xf>
    <xf numFmtId="41" fontId="2" fillId="0" borderId="0" xfId="0" applyNumberFormat="1" applyFont="1"/>
    <xf numFmtId="3" fontId="2" fillId="0" borderId="0" xfId="0" applyNumberFormat="1" applyFont="1"/>
    <xf numFmtId="1" fontId="0" fillId="0" borderId="0" xfId="0" applyNumberFormat="1"/>
    <xf numFmtId="164" fontId="0" fillId="0" borderId="0" xfId="0" applyNumberFormat="1"/>
    <xf numFmtId="41" fontId="0" fillId="0" borderId="0" xfId="0" applyNumberFormat="1"/>
    <xf numFmtId="0" fontId="0" fillId="2" borderId="0" xfId="0" applyFill="1"/>
    <xf numFmtId="41" fontId="2" fillId="3" borderId="0" xfId="1" applyFont="1" applyFill="1"/>
    <xf numFmtId="3" fontId="2" fillId="3" borderId="0" xfId="0" applyNumberFormat="1" applyFont="1" applyFill="1"/>
    <xf numFmtId="3" fontId="0" fillId="3" borderId="0" xfId="0" applyNumberFormat="1" applyFill="1"/>
    <xf numFmtId="0" fontId="0" fillId="3" borderId="0" xfId="0" applyFill="1"/>
    <xf numFmtId="0" fontId="2" fillId="3" borderId="0" xfId="0" applyFont="1" applyFill="1"/>
    <xf numFmtId="41" fontId="2" fillId="3" borderId="0" xfId="0" applyNumberFormat="1" applyFont="1" applyFill="1"/>
    <xf numFmtId="41" fontId="0" fillId="3" borderId="0" xfId="1" applyFont="1" applyFill="1"/>
    <xf numFmtId="41" fontId="1" fillId="3" borderId="0" xfId="1" applyFont="1" applyFill="1"/>
    <xf numFmtId="41" fontId="0" fillId="3" borderId="0" xfId="0" applyNumberFormat="1" applyFill="1"/>
    <xf numFmtId="41" fontId="2" fillId="4" borderId="0" xfId="0" applyNumberFormat="1" applyFont="1" applyFill="1"/>
    <xf numFmtId="0" fontId="0" fillId="4" borderId="0" xfId="0" applyFill="1"/>
    <xf numFmtId="41" fontId="2" fillId="4" borderId="0" xfId="1" applyFont="1" applyFill="1"/>
    <xf numFmtId="164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41" fontId="2" fillId="2" borderId="0" xfId="1" applyFont="1" applyFill="1"/>
    <xf numFmtId="3" fontId="2" fillId="2" borderId="0" xfId="0" applyNumberFormat="1" applyFont="1" applyFill="1"/>
    <xf numFmtId="3" fontId="0" fillId="2" borderId="0" xfId="0" applyNumberFormat="1" applyFill="1"/>
    <xf numFmtId="0" fontId="2" fillId="2" borderId="0" xfId="0" applyFont="1" applyFill="1"/>
    <xf numFmtId="41" fontId="2" fillId="2" borderId="0" xfId="0" applyNumberFormat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8"/>
  <sheetViews>
    <sheetView tabSelected="1" workbookViewId="0">
      <selection activeCell="B42" sqref="B42"/>
    </sheetView>
  </sheetViews>
  <sheetFormatPr defaultRowHeight="14.4" x14ac:dyDescent="0.3"/>
  <cols>
    <col min="1" max="1" width="18.33203125" customWidth="1"/>
    <col min="4" max="4" width="9.77734375" bestFit="1" customWidth="1"/>
    <col min="5" max="5" width="11.44140625" customWidth="1"/>
    <col min="6" max="6" width="12.109375" customWidth="1"/>
    <col min="8" max="8" width="11.5546875" bestFit="1" customWidth="1"/>
    <col min="9" max="9" width="14.5546875" customWidth="1"/>
    <col min="10" max="10" width="16.109375" customWidth="1"/>
    <col min="13" max="13" width="13.33203125" bestFit="1" customWidth="1"/>
    <col min="17" max="17" width="13.33203125" bestFit="1" customWidth="1"/>
  </cols>
  <sheetData>
    <row r="2" spans="1:17" ht="15" x14ac:dyDescent="0.2">
      <c r="B2" s="1" t="s">
        <v>0</v>
      </c>
    </row>
    <row r="3" spans="1:17" ht="15" x14ac:dyDescent="0.2">
      <c r="B3" s="1"/>
    </row>
    <row r="5" spans="1:17" ht="15" x14ac:dyDescent="0.2">
      <c r="B5" s="1" t="s">
        <v>1</v>
      </c>
    </row>
    <row r="6" spans="1:17" ht="15" x14ac:dyDescent="0.2">
      <c r="B6" s="1"/>
    </row>
    <row r="7" spans="1:17" ht="15" x14ac:dyDescent="0.2">
      <c r="A7" s="1" t="s">
        <v>29</v>
      </c>
      <c r="D7" s="2" t="s">
        <v>25</v>
      </c>
      <c r="H7" s="2" t="s">
        <v>26</v>
      </c>
      <c r="K7" s="1" t="s">
        <v>2</v>
      </c>
      <c r="M7" s="2" t="s">
        <v>27</v>
      </c>
      <c r="O7" s="1" t="s">
        <v>2</v>
      </c>
      <c r="Q7" s="2" t="s">
        <v>28</v>
      </c>
    </row>
    <row r="8" spans="1:17" ht="15" x14ac:dyDescent="0.2">
      <c r="D8" s="1" t="s">
        <v>3</v>
      </c>
      <c r="E8" s="1" t="s">
        <v>4</v>
      </c>
      <c r="F8" s="1" t="s">
        <v>5</v>
      </c>
      <c r="G8" s="1"/>
      <c r="H8" s="1" t="s">
        <v>3</v>
      </c>
      <c r="I8" s="1" t="s">
        <v>4</v>
      </c>
      <c r="J8" s="1" t="s">
        <v>5</v>
      </c>
      <c r="K8" s="1"/>
      <c r="L8" s="1"/>
      <c r="M8" s="1" t="s">
        <v>6</v>
      </c>
      <c r="N8" s="1"/>
      <c r="O8" s="1"/>
      <c r="Q8" s="1" t="s">
        <v>6</v>
      </c>
    </row>
    <row r="9" spans="1:17" ht="15" x14ac:dyDescent="0.2">
      <c r="A9" s="1" t="s">
        <v>31</v>
      </c>
      <c r="D9" s="1"/>
      <c r="E9" s="1"/>
      <c r="G9" s="1"/>
      <c r="H9" s="1"/>
      <c r="I9" s="1"/>
      <c r="J9" s="1"/>
      <c r="K9" s="1"/>
      <c r="L9" s="1"/>
      <c r="N9" s="1"/>
      <c r="O9" s="1"/>
      <c r="Q9" s="1"/>
    </row>
    <row r="10" spans="1:17" ht="15" x14ac:dyDescent="0.2">
      <c r="A10" t="s">
        <v>7</v>
      </c>
      <c r="D10">
        <v>0</v>
      </c>
      <c r="E10">
        <v>0</v>
      </c>
      <c r="F10" s="1">
        <f>SUM(D10:E10)</f>
        <v>0</v>
      </c>
      <c r="H10" s="4">
        <v>0</v>
      </c>
      <c r="I10" s="4">
        <v>0</v>
      </c>
      <c r="J10" s="4">
        <f>0</f>
        <v>0</v>
      </c>
      <c r="L10">
        <v>55350</v>
      </c>
      <c r="M10" s="3">
        <v>55350</v>
      </c>
      <c r="Q10" s="4">
        <f>M10*1.05</f>
        <v>58117.5</v>
      </c>
    </row>
    <row r="11" spans="1:17" ht="15" x14ac:dyDescent="0.2">
      <c r="A11" t="s">
        <v>8</v>
      </c>
      <c r="D11" s="3">
        <v>28000</v>
      </c>
      <c r="E11">
        <v>0</v>
      </c>
      <c r="F11" s="3">
        <f>SUM(D11:E11)</f>
        <v>28000</v>
      </c>
      <c r="G11" s="3"/>
      <c r="H11" s="4">
        <v>0</v>
      </c>
      <c r="I11" s="4">
        <v>0</v>
      </c>
      <c r="J11" s="4">
        <f>H11</f>
        <v>0</v>
      </c>
      <c r="M11" s="8">
        <v>0</v>
      </c>
      <c r="Q11">
        <v>0</v>
      </c>
    </row>
    <row r="12" spans="1:17" ht="15" x14ac:dyDescent="0.2">
      <c r="A12" t="s">
        <v>9</v>
      </c>
      <c r="D12" s="3">
        <v>4070</v>
      </c>
      <c r="E12" s="3">
        <v>6000</v>
      </c>
      <c r="F12" s="3">
        <f>SUM(D12:E12)</f>
        <v>10070</v>
      </c>
      <c r="G12" s="3"/>
      <c r="H12" s="4">
        <v>4125</v>
      </c>
      <c r="I12" s="4">
        <f>6000</f>
        <v>6000</v>
      </c>
      <c r="J12" s="4">
        <f>H12+I12</f>
        <v>10125</v>
      </c>
      <c r="L12" s="10">
        <f>-H12</f>
        <v>-4125</v>
      </c>
      <c r="M12" s="9">
        <f>(J12-4274)*1.05</f>
        <v>6143.55</v>
      </c>
      <c r="Q12" s="9">
        <f>M12*1.05</f>
        <v>6450.7275000000009</v>
      </c>
    </row>
    <row r="13" spans="1:17" ht="15" x14ac:dyDescent="0.2">
      <c r="A13" t="s">
        <v>10</v>
      </c>
      <c r="D13" s="3">
        <f>4300+1050+1100+600</f>
        <v>7050</v>
      </c>
      <c r="E13" s="3">
        <f>2000+3000+3000+4885+1065</f>
        <v>13950</v>
      </c>
      <c r="F13" s="3">
        <f t="shared" ref="F13:F16" si="0">SUM(D13:E13)</f>
        <v>21000</v>
      </c>
      <c r="G13" s="3"/>
      <c r="H13" s="4">
        <f>4900+2000+1100+570</f>
        <v>8570</v>
      </c>
      <c r="I13" s="4">
        <f>2000+8000+3000+3000+1506-6605</f>
        <v>10901</v>
      </c>
      <c r="J13" s="4">
        <f t="shared" ref="J13:J16" si="1">H13+I13</f>
        <v>19471</v>
      </c>
      <c r="L13">
        <v>-2000</v>
      </c>
      <c r="M13" s="9">
        <f>J13*1.05+L13</f>
        <v>18444.55</v>
      </c>
      <c r="Q13" s="9">
        <f>M13*1.03</f>
        <v>18997.886500000001</v>
      </c>
    </row>
    <row r="14" spans="1:17" ht="15" x14ac:dyDescent="0.2">
      <c r="A14" t="s">
        <v>11</v>
      </c>
      <c r="D14" s="3">
        <v>22800</v>
      </c>
      <c r="E14" s="3">
        <f>26000+7000</f>
        <v>33000</v>
      </c>
      <c r="F14" s="3">
        <f t="shared" si="0"/>
        <v>55800</v>
      </c>
      <c r="G14" s="3"/>
      <c r="H14" s="4">
        <v>24715</v>
      </c>
      <c r="I14" s="4">
        <f>26500</f>
        <v>26500</v>
      </c>
      <c r="J14" s="4">
        <f t="shared" si="1"/>
        <v>51215</v>
      </c>
      <c r="L14" s="3"/>
      <c r="M14" s="9">
        <f>J14*1.05</f>
        <v>53775.75</v>
      </c>
      <c r="Q14" s="9">
        <f>M14*1.05</f>
        <v>56464.537500000006</v>
      </c>
    </row>
    <row r="15" spans="1:17" ht="15" x14ac:dyDescent="0.2">
      <c r="A15" t="s">
        <v>12</v>
      </c>
      <c r="D15" s="5">
        <v>12650</v>
      </c>
      <c r="E15" s="3">
        <f>3500+8000+4000</f>
        <v>15500</v>
      </c>
      <c r="F15" s="3">
        <f t="shared" si="0"/>
        <v>28150</v>
      </c>
      <c r="G15" s="3"/>
      <c r="H15" s="4">
        <v>13740</v>
      </c>
      <c r="I15" s="4">
        <f>14000</f>
        <v>14000</v>
      </c>
      <c r="J15" s="4">
        <f t="shared" si="1"/>
        <v>27740</v>
      </c>
      <c r="M15" s="9">
        <f>J15*1.05</f>
        <v>29127</v>
      </c>
      <c r="O15">
        <f>13283-3000</f>
        <v>10283</v>
      </c>
      <c r="Q15" s="9">
        <f>M15-O15</f>
        <v>18844</v>
      </c>
    </row>
    <row r="16" spans="1:17" ht="15" x14ac:dyDescent="0.2">
      <c r="A16" t="s">
        <v>30</v>
      </c>
      <c r="D16" s="5">
        <v>26040</v>
      </c>
      <c r="E16" s="3">
        <v>7000</v>
      </c>
      <c r="F16" s="3">
        <f t="shared" si="0"/>
        <v>33040</v>
      </c>
      <c r="G16" s="3"/>
      <c r="H16" s="4">
        <v>28485</v>
      </c>
      <c r="I16" s="4">
        <v>8000</v>
      </c>
      <c r="J16" s="4">
        <f t="shared" si="1"/>
        <v>36485</v>
      </c>
      <c r="M16" s="9">
        <f>J16*1.05</f>
        <v>38309.25</v>
      </c>
      <c r="O16">
        <v>7100</v>
      </c>
      <c r="Q16" s="9">
        <f>M16-O16</f>
        <v>31209.25</v>
      </c>
    </row>
    <row r="17" spans="1:17" ht="15" x14ac:dyDescent="0.2">
      <c r="F17" s="7"/>
      <c r="G17" s="3"/>
      <c r="H17" s="4"/>
      <c r="I17" s="4"/>
      <c r="J17" s="4"/>
    </row>
    <row r="18" spans="1:17" ht="15" x14ac:dyDescent="0.2">
      <c r="A18" s="1" t="s">
        <v>5</v>
      </c>
      <c r="D18" s="26">
        <f>SUM(D10:D16)</f>
        <v>100610</v>
      </c>
      <c r="E18" s="26">
        <f>SUM(E10:E16)</f>
        <v>75450</v>
      </c>
      <c r="F18" s="27">
        <f>SUM(F11:F16)</f>
        <v>176060</v>
      </c>
      <c r="G18" s="28"/>
      <c r="H18" s="26">
        <f>SUM(H10:H16)</f>
        <v>79635</v>
      </c>
      <c r="I18" s="26">
        <f t="shared" ref="I18:J18" si="2">SUM(I10:I16)</f>
        <v>65401</v>
      </c>
      <c r="J18" s="26">
        <f t="shared" si="2"/>
        <v>145036</v>
      </c>
      <c r="K18" s="11"/>
      <c r="L18" s="29">
        <f>SUM(L10:L16)</f>
        <v>49225</v>
      </c>
      <c r="M18" s="27">
        <f>SUM(M10:M16)</f>
        <v>201150.1</v>
      </c>
      <c r="N18" s="11"/>
      <c r="O18" s="29">
        <f>SUM(O10:O16)</f>
        <v>17383</v>
      </c>
      <c r="P18" s="11"/>
      <c r="Q18" s="30">
        <f>SUM(Q10:Q16)</f>
        <v>190083.90150000001</v>
      </c>
    </row>
    <row r="19" spans="1:17" ht="15" x14ac:dyDescent="0.2">
      <c r="A19" s="1"/>
      <c r="D19" s="26"/>
      <c r="E19" s="26"/>
      <c r="F19" s="27"/>
      <c r="G19" s="28"/>
      <c r="H19" s="26"/>
      <c r="I19" s="26"/>
      <c r="J19" s="26"/>
      <c r="K19" s="11"/>
      <c r="L19" s="29"/>
      <c r="M19" s="27"/>
      <c r="N19" s="11"/>
      <c r="O19" s="29"/>
      <c r="P19" s="11"/>
      <c r="Q19" s="30"/>
    </row>
    <row r="20" spans="1:17" ht="15" x14ac:dyDescent="0.2">
      <c r="A20" s="1"/>
      <c r="D20" s="26"/>
      <c r="E20" s="26"/>
      <c r="F20" s="27"/>
      <c r="G20" s="28"/>
      <c r="H20" s="26"/>
      <c r="I20" s="26"/>
      <c r="J20" s="26"/>
      <c r="K20" s="11"/>
      <c r="L20" s="29"/>
      <c r="M20" s="27"/>
      <c r="N20" s="11"/>
      <c r="O20" s="29"/>
      <c r="P20" s="11"/>
      <c r="Q20" s="30"/>
    </row>
    <row r="21" spans="1:17" ht="15" x14ac:dyDescent="0.2">
      <c r="A21" s="1" t="s">
        <v>33</v>
      </c>
      <c r="D21" s="26"/>
      <c r="E21" s="26"/>
      <c r="F21" s="27"/>
      <c r="G21" s="28"/>
      <c r="H21" s="26"/>
      <c r="I21" s="26"/>
      <c r="J21" s="26"/>
      <c r="K21" s="11"/>
      <c r="L21" s="29"/>
      <c r="M21" s="27"/>
      <c r="N21" s="11"/>
      <c r="O21" s="29"/>
      <c r="P21" s="11"/>
      <c r="Q21" s="30"/>
    </row>
    <row r="22" spans="1:17" ht="15" x14ac:dyDescent="0.2">
      <c r="A22" t="s">
        <v>34</v>
      </c>
      <c r="D22" s="18">
        <v>1000</v>
      </c>
      <c r="E22" s="15">
        <v>4000</v>
      </c>
      <c r="F22" s="14">
        <f>SUM(D22:E22)</f>
        <v>5000</v>
      </c>
      <c r="G22" s="14"/>
      <c r="H22" s="18">
        <v>5000</v>
      </c>
      <c r="I22" s="18">
        <v>5000</v>
      </c>
      <c r="J22" s="19">
        <f>SUM(H22:I22)</f>
        <v>10000</v>
      </c>
      <c r="K22" s="15"/>
      <c r="L22" s="15"/>
      <c r="M22" s="14">
        <f>J22</f>
        <v>10000</v>
      </c>
      <c r="N22" s="15"/>
      <c r="O22" s="15"/>
      <c r="P22" s="15"/>
      <c r="Q22" s="14">
        <f>M22</f>
        <v>10000</v>
      </c>
    </row>
    <row r="23" spans="1:17" ht="15" x14ac:dyDescent="0.2">
      <c r="A23" t="s">
        <v>13</v>
      </c>
      <c r="D23" s="18">
        <v>12000</v>
      </c>
      <c r="E23" s="15"/>
      <c r="F23" s="14">
        <f t="shared" ref="F23:F24" si="3">SUM(D23:E23)</f>
        <v>12000</v>
      </c>
      <c r="G23" s="14"/>
      <c r="H23" s="18">
        <v>4000</v>
      </c>
      <c r="I23" s="18"/>
      <c r="J23" s="19">
        <f t="shared" ref="J23:J24" si="4">SUM(H23:I23)</f>
        <v>4000</v>
      </c>
      <c r="K23" s="15"/>
      <c r="L23" s="15"/>
      <c r="M23" s="15"/>
      <c r="N23" s="15"/>
      <c r="O23" s="15"/>
      <c r="P23" s="15"/>
      <c r="Q23" s="15"/>
    </row>
    <row r="24" spans="1:17" ht="15" x14ac:dyDescent="0.2">
      <c r="A24" t="s">
        <v>38</v>
      </c>
      <c r="D24" s="13">
        <f>(24800+37500+57900+13800)-(50500+52570)</f>
        <v>30930</v>
      </c>
      <c r="E24" s="13"/>
      <c r="F24" s="13">
        <f t="shared" si="3"/>
        <v>30930</v>
      </c>
      <c r="G24" s="14"/>
      <c r="H24" s="18">
        <f>62000-54220+27300</f>
        <v>35080</v>
      </c>
      <c r="I24" s="18"/>
      <c r="J24" s="19">
        <f t="shared" si="4"/>
        <v>35080</v>
      </c>
      <c r="K24" s="15"/>
      <c r="L24" s="15"/>
      <c r="M24" s="18">
        <f>M10+H24+(I24*1.05)</f>
        <v>90430</v>
      </c>
      <c r="N24" s="15"/>
      <c r="O24" s="15"/>
      <c r="P24" s="15"/>
      <c r="Q24" s="20">
        <f>Q10+H24+(I24*1.05*1.05)</f>
        <v>93197.5</v>
      </c>
    </row>
    <row r="25" spans="1:17" ht="15" x14ac:dyDescent="0.2">
      <c r="A25" s="1" t="s">
        <v>35</v>
      </c>
      <c r="D25" s="17">
        <f>SUM(D22:D24)</f>
        <v>43930</v>
      </c>
      <c r="E25" s="12">
        <f>SUM(E22:E24)</f>
        <v>4000</v>
      </c>
      <c r="F25" s="13">
        <f>SUM(F22:F24)</f>
        <v>47930</v>
      </c>
      <c r="G25" s="15"/>
      <c r="H25" s="12">
        <f>SUM(H22:H24)</f>
        <v>44080</v>
      </c>
      <c r="I25" s="12">
        <f>SUM(I22:I24)</f>
        <v>5000</v>
      </c>
      <c r="J25" s="12">
        <f>J22+J23+J24</f>
        <v>49080</v>
      </c>
      <c r="K25" s="15"/>
      <c r="L25" s="15"/>
      <c r="M25" s="12">
        <f>SUM(M22:M24)</f>
        <v>100430</v>
      </c>
      <c r="N25" s="15"/>
      <c r="O25" s="16"/>
      <c r="P25" s="15"/>
      <c r="Q25" s="13">
        <f>SUM(Q22:Q24)</f>
        <v>103197.5</v>
      </c>
    </row>
    <row r="26" spans="1:17" ht="15" x14ac:dyDescent="0.2">
      <c r="A26" t="s">
        <v>36</v>
      </c>
      <c r="D26" s="6"/>
      <c r="F26" s="7"/>
    </row>
    <row r="27" spans="1:17" ht="15" x14ac:dyDescent="0.2">
      <c r="A27" s="1" t="s">
        <v>32</v>
      </c>
      <c r="C27" s="11"/>
      <c r="D27" s="21">
        <f>D18-D25</f>
        <v>56680</v>
      </c>
      <c r="E27" s="21">
        <f>E18-E25</f>
        <v>71450</v>
      </c>
      <c r="F27" s="21">
        <f>F18-F25</f>
        <v>128130</v>
      </c>
      <c r="G27" s="22"/>
      <c r="H27" s="21">
        <f>H18-H25</f>
        <v>35555</v>
      </c>
      <c r="I27" s="21">
        <f>I18-I25</f>
        <v>60401</v>
      </c>
      <c r="J27" s="21">
        <f>H27+I27</f>
        <v>95956</v>
      </c>
      <c r="K27" s="22"/>
      <c r="L27" s="22"/>
      <c r="M27" s="23">
        <f>M18-M25</f>
        <v>100720.1</v>
      </c>
      <c r="N27" s="22"/>
      <c r="O27" s="22"/>
      <c r="P27" s="22"/>
      <c r="Q27" s="21">
        <f>Q18-Q25</f>
        <v>86886.401500000007</v>
      </c>
    </row>
    <row r="28" spans="1:17" ht="15" x14ac:dyDescent="0.2">
      <c r="A28" s="1"/>
      <c r="C28" s="11"/>
      <c r="D28" s="21"/>
      <c r="E28" s="21"/>
      <c r="F28" s="21"/>
      <c r="G28" s="22"/>
      <c r="H28" s="21"/>
      <c r="I28" s="21"/>
      <c r="J28" s="21"/>
      <c r="K28" s="22"/>
      <c r="L28" s="22"/>
      <c r="M28" s="23"/>
      <c r="N28" s="22"/>
      <c r="O28" s="22"/>
      <c r="P28" s="22"/>
      <c r="Q28" s="21"/>
    </row>
    <row r="29" spans="1:17" ht="15" x14ac:dyDescent="0.2">
      <c r="A29" s="1" t="s">
        <v>14</v>
      </c>
      <c r="D29" s="23">
        <v>562924</v>
      </c>
      <c r="E29" s="23">
        <v>554750</v>
      </c>
      <c r="F29" s="21">
        <f>D29+E29</f>
        <v>1117674</v>
      </c>
      <c r="G29" s="22"/>
      <c r="H29" s="24">
        <v>583645</v>
      </c>
      <c r="I29" s="24">
        <f>E29*1.063</f>
        <v>589699.25</v>
      </c>
      <c r="J29" s="24">
        <f>SUM(H29:I29)</f>
        <v>1173344.25</v>
      </c>
      <c r="K29" s="22"/>
      <c r="L29" s="22"/>
      <c r="M29" s="25">
        <f>J29*1.05</f>
        <v>1232011.4625000001</v>
      </c>
      <c r="N29" s="22"/>
      <c r="O29" s="22"/>
      <c r="P29" s="22"/>
      <c r="Q29" s="25">
        <f>M29*1.05</f>
        <v>1293612.0356250003</v>
      </c>
    </row>
    <row r="30" spans="1:17" ht="15" x14ac:dyDescent="0.2">
      <c r="A30" s="1" t="s">
        <v>15</v>
      </c>
      <c r="D30" s="23">
        <f>D27+D29</f>
        <v>619604</v>
      </c>
      <c r="E30" s="21">
        <f>E27+E29</f>
        <v>626200</v>
      </c>
      <c r="F30" s="21">
        <f>F27+F29</f>
        <v>1245804</v>
      </c>
      <c r="G30" s="22"/>
      <c r="H30" s="21">
        <f>H27+H29</f>
        <v>619200</v>
      </c>
      <c r="I30" s="21">
        <f>I27+I29</f>
        <v>650100.25</v>
      </c>
      <c r="J30" s="21">
        <f>J27+J29</f>
        <v>1269300.25</v>
      </c>
      <c r="K30" s="22"/>
      <c r="L30" s="22"/>
      <c r="M30" s="21">
        <f>M27+M29</f>
        <v>1332731.5625000002</v>
      </c>
      <c r="N30" s="22"/>
      <c r="O30" s="22"/>
      <c r="P30" s="22"/>
      <c r="Q30" s="21">
        <f>Q27+Q29</f>
        <v>1380498.4371250002</v>
      </c>
    </row>
    <row r="34" spans="1:2" ht="15" x14ac:dyDescent="0.2">
      <c r="A34" s="1" t="s">
        <v>16</v>
      </c>
    </row>
    <row r="36" spans="1:2" x14ac:dyDescent="0.3">
      <c r="A36">
        <v>1</v>
      </c>
      <c r="B36" t="s">
        <v>17</v>
      </c>
    </row>
    <row r="38" spans="1:2" x14ac:dyDescent="0.3">
      <c r="A38">
        <v>2</v>
      </c>
      <c r="B38" t="s">
        <v>18</v>
      </c>
    </row>
    <row r="40" spans="1:2" x14ac:dyDescent="0.3">
      <c r="A40">
        <v>3</v>
      </c>
      <c r="B40" t="s">
        <v>19</v>
      </c>
    </row>
    <row r="42" spans="1:2" x14ac:dyDescent="0.3">
      <c r="A42">
        <v>4</v>
      </c>
      <c r="B42" t="s">
        <v>41</v>
      </c>
    </row>
    <row r="44" spans="1:2" x14ac:dyDescent="0.3">
      <c r="A44">
        <v>5</v>
      </c>
      <c r="B44" t="s">
        <v>20</v>
      </c>
    </row>
    <row r="46" spans="1:2" x14ac:dyDescent="0.3">
      <c r="A46">
        <v>6</v>
      </c>
      <c r="B46" t="s">
        <v>37</v>
      </c>
    </row>
    <row r="48" spans="1:2" x14ac:dyDescent="0.3">
      <c r="A48">
        <v>7</v>
      </c>
      <c r="B48" t="s">
        <v>21</v>
      </c>
    </row>
    <row r="50" spans="1:2" x14ac:dyDescent="0.3">
      <c r="B50" t="s">
        <v>23</v>
      </c>
    </row>
    <row r="52" spans="1:2" x14ac:dyDescent="0.3">
      <c r="A52">
        <v>9</v>
      </c>
      <c r="B52" t="s">
        <v>22</v>
      </c>
    </row>
    <row r="54" spans="1:2" x14ac:dyDescent="0.3">
      <c r="A54">
        <v>10</v>
      </c>
      <c r="B54" t="s">
        <v>24</v>
      </c>
    </row>
    <row r="56" spans="1:2" x14ac:dyDescent="0.3">
      <c r="A56">
        <v>11</v>
      </c>
      <c r="B56" t="s">
        <v>39</v>
      </c>
    </row>
    <row r="58" spans="1:2" x14ac:dyDescent="0.3">
      <c r="A58">
        <v>12</v>
      </c>
      <c r="B58" t="s">
        <v>40</v>
      </c>
    </row>
  </sheetData>
  <pageMargins left="0.7" right="0.7" top="0.75" bottom="0.75" header="0.3" footer="0.3"/>
  <pageSetup scale="64" firstPageNumber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topLeftCell="B1" workbookViewId="0">
      <selection activeCell="B2" sqref="B2:O30"/>
    </sheetView>
  </sheetViews>
  <sheetFormatPr defaultRowHeight="14.4" x14ac:dyDescent="0.3"/>
  <sheetData>
    <row r="2" spans="2:2" ht="15" x14ac:dyDescent="0.2">
      <c r="B2" s="1"/>
    </row>
    <row r="4" spans="2:2" ht="15" x14ac:dyDescent="0.2"/>
    <row r="6" spans="2:2" ht="15" x14ac:dyDescent="0.2"/>
    <row r="8" spans="2:2" ht="15" x14ac:dyDescent="0.2"/>
    <row r="10" spans="2:2" ht="15" x14ac:dyDescent="0.2"/>
    <row r="12" spans="2:2" ht="15" x14ac:dyDescent="0.2"/>
    <row r="14" spans="2:2" ht="15" x14ac:dyDescent="0.2"/>
    <row r="16" spans="2:2" ht="15" x14ac:dyDescent="0.2"/>
    <row r="18" ht="15" x14ac:dyDescent="0.2"/>
    <row r="20" ht="1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Budgets</vt:lpstr>
      <vt:lpstr>Assumptions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Turton</dc:creator>
  <cp:lastModifiedBy>Windows User</cp:lastModifiedBy>
  <cp:revision/>
  <cp:lastPrinted>2024-01-12T07:17:21Z</cp:lastPrinted>
  <dcterms:created xsi:type="dcterms:W3CDTF">2023-12-06T10:36:44Z</dcterms:created>
  <dcterms:modified xsi:type="dcterms:W3CDTF">2024-04-03T08:57:50Z</dcterms:modified>
</cp:coreProperties>
</file>